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GoogleDrive\Data\Other\VC\Calculators\ФЛЕШ\"/>
    </mc:Choice>
  </mc:AlternateContent>
  <xr:revisionPtr revIDLastSave="0" documentId="13_ncr:1_{AFDE23B3-85D7-4747-B043-BD3F43957486}" xr6:coauthVersionLast="47" xr6:coauthVersionMax="47" xr10:uidLastSave="{00000000-0000-0000-0000-000000000000}"/>
  <workbookProtection workbookAlgorithmName="SHA-512" workbookHashValue="o2O0/cWrtiX1vjpg77SDtJ1ZHyocL5X7riDxRsmyQqwjIgTUg67Z7WlH4hXNhPgqPgyV7iCX3qn11OQKlRBpxQ==" workbookSaltValue="coLSjjAZAWQ4s18sJqzH3Q==" workbookSpinCount="100000" lockStructure="1"/>
  <bookViews>
    <workbookView xWindow="-108" yWindow="-108" windowWidth="23256" windowHeight="12456" xr2:uid="{00000000-000D-0000-FFFF-FFFF00000000}"/>
  </bookViews>
  <sheets>
    <sheet name="START" sheetId="1" r:id="rId1"/>
    <sheet name="Data" sheetId="2" state="hidden" r:id="rId2"/>
  </sheets>
  <definedNames>
    <definedName name="annuity_rates">Data!$H$2:$H$4</definedName>
    <definedName name="credit_amount">Data!$A$2:$A$61</definedName>
    <definedName name="discount_rate">Data!$D$2:$D$14</definedName>
    <definedName name="promocode">Data!$B$2:$B$12</definedName>
    <definedName name="term">Data!$F$2:$F$11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" i="2" l="1"/>
  <c r="A61" i="2" s="1"/>
  <c r="A58" i="2"/>
  <c r="A59" i="2" s="1"/>
  <c r="U21" i="1"/>
  <c r="U22" i="1"/>
  <c r="U23" i="1"/>
  <c r="U24" i="1"/>
  <c r="U25" i="1"/>
  <c r="U26" i="1"/>
  <c r="U27" i="1"/>
  <c r="U28" i="1"/>
  <c r="U29" i="1"/>
  <c r="U30" i="1"/>
  <c r="U31" i="1"/>
  <c r="U20" i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C19" i="1"/>
  <c r="M32" i="1"/>
  <c r="N32" i="1"/>
  <c r="O32" i="1"/>
  <c r="P32" i="1"/>
  <c r="Q32" i="1"/>
  <c r="R32" i="1"/>
  <c r="S32" i="1"/>
  <c r="T32" i="1"/>
  <c r="L32" i="1"/>
  <c r="D19" i="1"/>
  <c r="B6" i="1"/>
  <c r="B9" i="1" s="1"/>
  <c r="B8" i="1"/>
  <c r="H25" i="1" s="1"/>
  <c r="F3" i="2"/>
  <c r="F4" i="2" s="1"/>
  <c r="F5" i="2" s="1"/>
  <c r="F6" i="2" s="1"/>
  <c r="F7" i="2" s="1"/>
  <c r="F8" i="2" s="1"/>
  <c r="F9" i="2" s="1"/>
  <c r="F10" i="2" s="1"/>
  <c r="F11" i="2" s="1"/>
  <c r="D3" i="2"/>
  <c r="D4" i="2"/>
  <c r="D5" i="2"/>
  <c r="D6" i="2"/>
  <c r="D7" i="2"/>
  <c r="D8" i="2"/>
  <c r="D9" i="2"/>
  <c r="D10" i="2"/>
  <c r="D11" i="2"/>
  <c r="D12" i="2"/>
  <c r="D13" i="2"/>
  <c r="D14" i="2"/>
  <c r="D2" i="2"/>
  <c r="I19" i="1"/>
  <c r="J19" i="1" s="1"/>
  <c r="B1" i="1"/>
  <c r="G19" i="1" s="1"/>
  <c r="A53" i="2" l="1"/>
  <c r="A54" i="2" s="1"/>
  <c r="A55" i="2" s="1"/>
  <c r="A56" i="2" s="1"/>
  <c r="A57" i="2" s="1"/>
  <c r="H24" i="1"/>
  <c r="H23" i="1"/>
  <c r="H22" i="1"/>
  <c r="G31" i="1"/>
  <c r="H21" i="1"/>
  <c r="G30" i="1"/>
  <c r="H20" i="1"/>
  <c r="G21" i="1"/>
  <c r="H31" i="1"/>
  <c r="H30" i="1"/>
  <c r="H29" i="1"/>
  <c r="K20" i="1"/>
  <c r="H28" i="1"/>
  <c r="H27" i="1"/>
  <c r="G29" i="1"/>
  <c r="H26" i="1"/>
  <c r="G20" i="1"/>
  <c r="G28" i="1"/>
  <c r="G27" i="1"/>
  <c r="G26" i="1"/>
  <c r="G25" i="1"/>
  <c r="G24" i="1"/>
  <c r="G23" i="1"/>
  <c r="G22" i="1"/>
  <c r="B10" i="1"/>
  <c r="I25" i="1" s="1"/>
  <c r="C25" i="1" s="1"/>
  <c r="H32" i="1" l="1"/>
  <c r="I21" i="1"/>
  <c r="C21" i="1" s="1"/>
  <c r="I23" i="1"/>
  <c r="C23" i="1" s="1"/>
  <c r="I27" i="1"/>
  <c r="C27" i="1" s="1"/>
  <c r="I22" i="1"/>
  <c r="C22" i="1" s="1"/>
  <c r="I20" i="1"/>
  <c r="C20" i="1" s="1"/>
  <c r="J20" i="1" l="1"/>
  <c r="D20" i="1" s="1"/>
  <c r="K21" i="1" s="1"/>
  <c r="J21" i="1" l="1"/>
  <c r="D21" i="1" s="1"/>
  <c r="K22" i="1" s="1"/>
  <c r="J22" i="1" s="1"/>
  <c r="D22" i="1" s="1"/>
  <c r="K23" i="1" s="1"/>
  <c r="J23" i="1" l="1"/>
  <c r="D23" i="1" s="1"/>
  <c r="K24" i="1" l="1"/>
  <c r="I24" i="1" s="1"/>
  <c r="C24" i="1" s="1"/>
  <c r="J24" i="1" l="1"/>
  <c r="D24" i="1" s="1"/>
  <c r="K25" i="1" s="1"/>
  <c r="J25" i="1" s="1"/>
  <c r="D25" i="1" l="1"/>
  <c r="K26" i="1" s="1"/>
  <c r="I26" i="1" s="1"/>
  <c r="C26" i="1" s="1"/>
  <c r="J26" i="1" l="1"/>
  <c r="D26" i="1" l="1"/>
  <c r="K27" i="1" s="1"/>
  <c r="J27" i="1" l="1"/>
  <c r="D27" i="1" l="1"/>
  <c r="K28" i="1" s="1"/>
  <c r="I28" i="1" l="1"/>
  <c r="C28" i="1" s="1"/>
  <c r="J28" i="1" l="1"/>
  <c r="D28" i="1" s="1"/>
  <c r="K29" i="1" s="1"/>
  <c r="I29" i="1" s="1"/>
  <c r="C29" i="1" s="1"/>
  <c r="J29" i="1" l="1"/>
  <c r="D29" i="1" s="1"/>
  <c r="K30" i="1" s="1"/>
  <c r="I30" i="1" s="1"/>
  <c r="C30" i="1" s="1"/>
  <c r="J30" i="1" l="1"/>
  <c r="D30" i="1" s="1"/>
  <c r="K31" i="1" l="1"/>
  <c r="I31" i="1" l="1"/>
  <c r="K32" i="1"/>
  <c r="U32" i="1" l="1"/>
  <c r="C31" i="1"/>
  <c r="J31" i="1"/>
  <c r="I32" i="1"/>
  <c r="V32" i="1"/>
  <c r="B11" i="1" l="1"/>
  <c r="J32" i="1"/>
  <c r="W32" i="1" s="1"/>
  <c r="D31" i="1"/>
  <c r="B12" i="1" l="1"/>
  <c r="B13" i="1"/>
</calcChain>
</file>

<file path=xl/sharedStrings.xml><?xml version="1.0" encoding="utf-8"?>
<sst xmlns="http://schemas.openxmlformats.org/spreadsheetml/2006/main" count="75" uniqueCount="45">
  <si>
    <t>Дата отримання кредиту</t>
  </si>
  <si>
    <t>Реальна річна процентна ставка, % річних</t>
  </si>
  <si>
    <t xml:space="preserve">Загальні витрати за кредитом, грн </t>
  </si>
  <si>
    <t>Загальна вартість кредиту, грн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</si>
  <si>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</si>
  <si>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</si>
  <si>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</si>
  <si>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</si>
  <si>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</si>
  <si>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 xml:space="preserve">Реальна річна процентна ставка, % </t>
  </si>
  <si>
    <t>сума кредиту за договором /погашення суми кредиту</t>
  </si>
  <si>
    <t>проценти за користування кредитом</t>
  </si>
  <si>
    <t>кредитодавця</t>
  </si>
  <si>
    <t>кредитного посередника (за наявності)</t>
  </si>
  <si>
    <t>третіх осіб</t>
  </si>
  <si>
    <t>за обслуговування кредитної заборгованості</t>
  </si>
  <si>
    <t>комісія за надання кредиту</t>
  </si>
  <si>
    <r>
      <t>інші послуги кредитодавця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</si>
  <si>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комісійний збір</t>
  </si>
  <si>
    <r>
      <t>інша плата за послуги кредитного посередника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</si>
  <si>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розрахунково-касове обслуговування</t>
  </si>
  <si>
    <t>послуги нотаріуса</t>
  </si>
  <si>
    <t>послуги оцінювача</t>
  </si>
  <si>
    <t>послуги страховика</t>
  </si>
  <si>
    <r>
      <t>інші послуги третіх осіб</t>
    </r>
    <r>
      <rPr>
        <vertAlign val="superscript"/>
        <sz val="12"/>
        <color rgb="FF000000"/>
        <rFont val="Times New Roman"/>
        <family val="1"/>
        <charset val="204"/>
      </rPr>
      <t>1</t>
    </r>
    <r>
      <rPr>
        <sz val="12"/>
        <color rgb="FF000000"/>
        <rFont val="Times New Roman"/>
        <family val="1"/>
        <charset val="204"/>
      </rPr>
      <t xml:space="preserve"> </t>
    </r>
  </si>
  <si>
    <t>х</t>
  </si>
  <si>
    <t>Усього</t>
  </si>
  <si>
    <t xml:space="preserve">Сума кредиту, грн </t>
  </si>
  <si>
    <t>Кількість платежів</t>
  </si>
  <si>
    <t>credit_amount</t>
  </si>
  <si>
    <t>promocode</t>
  </si>
  <si>
    <t>Знижка по промокоду, %</t>
  </si>
  <si>
    <t>discount_rate</t>
  </si>
  <si>
    <t>discount</t>
  </si>
  <si>
    <t>Дисконтна процентна ставка, % в день</t>
  </si>
  <si>
    <t>Базова процентна ставка, % в день</t>
  </si>
  <si>
    <t>term</t>
  </si>
  <si>
    <t>Періодичність платежів, днів</t>
  </si>
  <si>
    <t>Ставка за період, %</t>
  </si>
  <si>
    <t>annuity_rates</t>
  </si>
  <si>
    <t>Строк кредиту, днів</t>
  </si>
  <si>
    <t>Тело остаток</t>
  </si>
  <si>
    <t>Платіж, грн</t>
  </si>
  <si>
    <t>payment_rate</t>
  </si>
  <si>
    <t>платежі за додаткові та/або супутні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</si>
</sst>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textRotation="90" wrapText="1"/>
      <protection hidden="1"/>
    </xf>
    <xf numFmtId="14" fontId="3" fillId="0" borderId="1" xfId="0" applyNumberFormat="1" applyFont="1" applyBorder="1" applyAlignment="1" applyProtection="1">
      <alignment horizontal="center"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vertical="top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6" fillId="0" borderId="1" xfId="0" applyNumberFormat="1" applyFont="1" applyBorder="1" applyAlignment="1" applyProtection="1">
      <alignment horizontal="center"/>
      <protection hidden="1"/>
    </xf>
    <xf numFmtId="4" fontId="7" fillId="0" borderId="1" xfId="0" applyNumberFormat="1" applyFont="1" applyBorder="1" applyAlignment="1" applyProtection="1">
      <alignment horizontal="center" vertical="center" wrapText="1"/>
      <protection hidden="1"/>
    </xf>
    <xf numFmtId="10" fontId="8" fillId="0" borderId="1" xfId="1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wrapText="1"/>
      <protection hidden="1"/>
    </xf>
    <xf numFmtId="10" fontId="0" fillId="4" borderId="1" xfId="0" applyNumberFormat="1" applyFill="1" applyBorder="1" applyProtection="1">
      <protection hidden="1"/>
    </xf>
    <xf numFmtId="2" fontId="0" fillId="4" borderId="1" xfId="0" applyNumberFormat="1" applyFill="1" applyBorder="1" applyProtection="1">
      <protection hidden="1"/>
    </xf>
    <xf numFmtId="0" fontId="9" fillId="0" borderId="0" xfId="0" applyFont="1"/>
    <xf numFmtId="14" fontId="0" fillId="2" borderId="1" xfId="0" applyNumberFormat="1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2" fillId="0" borderId="0" xfId="0" applyFont="1" applyProtection="1">
      <protection hidden="1"/>
    </xf>
    <xf numFmtId="164" fontId="0" fillId="4" borderId="1" xfId="1" applyNumberFormat="1" applyFont="1" applyFill="1" applyBorder="1" applyAlignment="1" applyProtection="1">
      <protection hidden="1"/>
    </xf>
    <xf numFmtId="164" fontId="0" fillId="0" borderId="0" xfId="0" applyNumberFormat="1"/>
    <xf numFmtId="2" fontId="0" fillId="3" borderId="1" xfId="0" applyNumberFormat="1" applyFill="1" applyBorder="1" applyProtection="1">
      <protection locked="0"/>
    </xf>
    <xf numFmtId="164" fontId="0" fillId="3" borderId="1" xfId="1" applyNumberFormat="1" applyFont="1" applyFill="1" applyBorder="1" applyAlignment="1" applyProtection="1">
      <protection locked="0"/>
    </xf>
    <xf numFmtId="1" fontId="0" fillId="4" borderId="1" xfId="0" applyNumberFormat="1" applyFill="1" applyBorder="1" applyProtection="1">
      <protection hidden="1"/>
    </xf>
    <xf numFmtId="14" fontId="0" fillId="2" borderId="0" xfId="0" applyNumberFormat="1" applyFill="1" applyProtection="1">
      <protection hidden="1"/>
    </xf>
    <xf numFmtId="2" fontId="0" fillId="3" borderId="0" xfId="0" applyNumberFormat="1" applyFill="1" applyProtection="1">
      <protection hidden="1"/>
    </xf>
    <xf numFmtId="164" fontId="0" fillId="3" borderId="0" xfId="1" applyNumberFormat="1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1" fontId="0" fillId="4" borderId="0" xfId="0" applyNumberFormat="1" applyFill="1" applyProtection="1">
      <protection hidden="1"/>
    </xf>
    <xf numFmtId="164" fontId="0" fillId="4" borderId="0" xfId="1" applyNumberFormat="1" applyFont="1" applyFill="1" applyBorder="1" applyAlignment="1" applyProtection="1">
      <protection hidden="1"/>
    </xf>
    <xf numFmtId="0" fontId="0" fillId="2" borderId="0" xfId="0" applyFill="1" applyAlignment="1" applyProtection="1">
      <alignment vertical="top" wrapText="1"/>
      <protection hidden="1"/>
    </xf>
    <xf numFmtId="0" fontId="0" fillId="4" borderId="0" xfId="0" applyFill="1" applyProtection="1">
      <protection hidden="1"/>
    </xf>
    <xf numFmtId="2" fontId="0" fillId="4" borderId="0" xfId="0" applyNumberFormat="1" applyFill="1" applyProtection="1">
      <protection hidden="1"/>
    </xf>
    <xf numFmtId="10" fontId="0" fillId="4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0" fontId="0" fillId="3" borderId="1" xfId="0" applyFill="1" applyBorder="1" applyProtection="1">
      <protection locked="0"/>
    </xf>
    <xf numFmtId="14" fontId="0" fillId="0" borderId="0" xfId="0" applyNumberFormat="1" applyProtection="1">
      <protection hidden="1"/>
    </xf>
    <xf numFmtId="10" fontId="0" fillId="0" borderId="0" xfId="1" applyNumberFormat="1" applyFont="1"/>
    <xf numFmtId="2" fontId="0" fillId="3" borderId="0" xfId="0" applyNumberFormat="1" applyFill="1" applyProtection="1">
      <protection locked="0"/>
    </xf>
    <xf numFmtId="164" fontId="0" fillId="3" borderId="0" xfId="1" applyNumberFormat="1" applyFont="1" applyFill="1" applyBorder="1" applyAlignment="1" applyProtection="1">
      <protection locked="0"/>
    </xf>
    <xf numFmtId="0" fontId="0" fillId="3" borderId="0" xfId="0" applyFill="1" applyProtection="1">
      <protection locked="0"/>
    </xf>
    <xf numFmtId="4" fontId="0" fillId="0" borderId="0" xfId="0" applyNumberFormat="1" applyProtection="1">
      <protection hidden="1"/>
    </xf>
    <xf numFmtId="0" fontId="3" fillId="0" borderId="1" xfId="0" applyFont="1" applyBorder="1" applyAlignment="1" applyProtection="1">
      <alignment horizontal="left" vertical="center" textRotation="90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workbookViewId="0">
      <selection activeCell="B2" sqref="B2"/>
    </sheetView>
  </sheetViews>
  <sheetFormatPr defaultRowHeight="14.4" x14ac:dyDescent="0.3"/>
  <cols>
    <col min="1" max="1" width="41.44140625" style="1" customWidth="1"/>
    <col min="2" max="2" width="10.109375" style="1" bestFit="1" customWidth="1"/>
    <col min="3" max="4" width="10.109375" style="1" hidden="1" customWidth="1"/>
    <col min="5" max="5" width="3.88671875" style="1" customWidth="1"/>
    <col min="6" max="6" width="7" style="1" customWidth="1"/>
    <col min="7" max="7" width="13.109375" style="1" customWidth="1"/>
    <col min="8" max="8" width="8.88671875" style="1"/>
    <col min="9" max="9" width="10.88671875" style="1" customWidth="1"/>
    <col min="10" max="10" width="10.77734375" style="1" customWidth="1"/>
    <col min="11" max="11" width="13.88671875" style="1" customWidth="1"/>
    <col min="12" max="21" width="8.88671875" style="1"/>
    <col min="22" max="22" width="11.44140625" style="1" bestFit="1" customWidth="1"/>
    <col min="23" max="23" width="9.88671875" style="1" bestFit="1" customWidth="1"/>
    <col min="24" max="16384" width="8.88671875" style="1"/>
  </cols>
  <sheetData>
    <row r="1" spans="1:23" x14ac:dyDescent="0.3">
      <c r="A1" s="16" t="s">
        <v>0</v>
      </c>
      <c r="B1" s="20">
        <f ca="1">TODAY()</f>
        <v>45408</v>
      </c>
      <c r="C1" s="28"/>
      <c r="D1" s="28"/>
    </row>
    <row r="2" spans="1:23" x14ac:dyDescent="0.3">
      <c r="A2" s="16" t="s">
        <v>27</v>
      </c>
      <c r="B2" s="25">
        <v>4500</v>
      </c>
      <c r="C2" s="42"/>
      <c r="D2" s="29"/>
    </row>
    <row r="3" spans="1:23" x14ac:dyDescent="0.3">
      <c r="A3" s="16" t="s">
        <v>35</v>
      </c>
      <c r="B3" s="26">
        <v>0.11</v>
      </c>
      <c r="C3" s="43"/>
      <c r="D3" s="30"/>
    </row>
    <row r="4" spans="1:23" x14ac:dyDescent="0.3">
      <c r="A4" s="16" t="s">
        <v>40</v>
      </c>
      <c r="B4" s="39">
        <v>300</v>
      </c>
      <c r="C4" s="44"/>
      <c r="D4" s="31"/>
    </row>
    <row r="5" spans="1:23" x14ac:dyDescent="0.3">
      <c r="A5" s="16" t="s">
        <v>31</v>
      </c>
      <c r="B5" s="27">
        <v>0</v>
      </c>
      <c r="C5" s="32"/>
      <c r="D5" s="32"/>
    </row>
    <row r="6" spans="1:23" x14ac:dyDescent="0.3">
      <c r="A6" s="16" t="s">
        <v>34</v>
      </c>
      <c r="B6" s="23">
        <f>B3</f>
        <v>0.11</v>
      </c>
      <c r="C6" s="33"/>
      <c r="D6" s="33"/>
    </row>
    <row r="7" spans="1:23" x14ac:dyDescent="0.3">
      <c r="A7" s="16" t="s">
        <v>37</v>
      </c>
      <c r="B7" s="10">
        <v>30</v>
      </c>
      <c r="C7" s="34"/>
      <c r="D7" s="34"/>
    </row>
    <row r="8" spans="1:23" x14ac:dyDescent="0.3">
      <c r="A8" s="16" t="s">
        <v>28</v>
      </c>
      <c r="B8" s="21">
        <f>B4/B7</f>
        <v>10</v>
      </c>
      <c r="C8" s="35"/>
      <c r="D8" s="35"/>
    </row>
    <row r="9" spans="1:23" x14ac:dyDescent="0.3">
      <c r="A9" s="16" t="s">
        <v>38</v>
      </c>
      <c r="B9" s="21">
        <f>B6*B7</f>
        <v>3.3</v>
      </c>
      <c r="C9" s="35"/>
      <c r="D9" s="35"/>
    </row>
    <row r="10" spans="1:23" x14ac:dyDescent="0.3">
      <c r="A10" s="16" t="s">
        <v>42</v>
      </c>
      <c r="B10" s="18">
        <f>ROUND((B9/100)*(1+B9/100)^(B8)/((1+B9/100)^(B8)-1)*B2,2)</f>
        <v>535.65</v>
      </c>
      <c r="C10" s="36"/>
      <c r="D10" s="36"/>
    </row>
    <row r="11" spans="1:23" x14ac:dyDescent="0.3">
      <c r="A11" s="16" t="s">
        <v>1</v>
      </c>
      <c r="B11" s="17">
        <f ca="1">V32</f>
        <v>0.50519863963127132</v>
      </c>
      <c r="C11" s="37"/>
      <c r="D11" s="37"/>
    </row>
    <row r="12" spans="1:23" x14ac:dyDescent="0.3">
      <c r="A12" s="16" t="s">
        <v>2</v>
      </c>
      <c r="B12" s="18">
        <f>W32-J32</f>
        <v>883</v>
      </c>
      <c r="C12" s="36"/>
      <c r="D12" s="36"/>
    </row>
    <row r="13" spans="1:23" x14ac:dyDescent="0.3">
      <c r="A13" s="16" t="s">
        <v>3</v>
      </c>
      <c r="B13" s="18">
        <f>W32</f>
        <v>5382.9999999999982</v>
      </c>
      <c r="C13" s="36"/>
      <c r="D13" s="36"/>
    </row>
    <row r="14" spans="1:23" ht="15.6" x14ac:dyDescent="0.3">
      <c r="F14" s="48" t="s">
        <v>4</v>
      </c>
      <c r="G14" s="46" t="s">
        <v>5</v>
      </c>
      <c r="H14" s="46" t="s">
        <v>6</v>
      </c>
      <c r="I14" s="46" t="s">
        <v>7</v>
      </c>
      <c r="J14" s="49" t="s">
        <v>8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6" t="s">
        <v>9</v>
      </c>
      <c r="W14" s="46" t="s">
        <v>3</v>
      </c>
    </row>
    <row r="15" spans="1:23" ht="15.6" x14ac:dyDescent="0.3">
      <c r="F15" s="48"/>
      <c r="G15" s="46"/>
      <c r="H15" s="46"/>
      <c r="I15" s="46"/>
      <c r="J15" s="46" t="s">
        <v>10</v>
      </c>
      <c r="K15" s="46" t="s">
        <v>11</v>
      </c>
      <c r="L15" s="47" t="s">
        <v>44</v>
      </c>
      <c r="M15" s="47"/>
      <c r="N15" s="47"/>
      <c r="O15" s="47"/>
      <c r="P15" s="47"/>
      <c r="Q15" s="47"/>
      <c r="R15" s="47"/>
      <c r="S15" s="47"/>
      <c r="T15" s="47"/>
      <c r="U15" s="47"/>
      <c r="V15" s="46"/>
      <c r="W15" s="46"/>
    </row>
    <row r="16" spans="1:23" ht="15.6" x14ac:dyDescent="0.3">
      <c r="F16" s="48"/>
      <c r="G16" s="46"/>
      <c r="H16" s="46"/>
      <c r="I16" s="46"/>
      <c r="J16" s="46"/>
      <c r="K16" s="46"/>
      <c r="L16" s="47" t="s">
        <v>12</v>
      </c>
      <c r="M16" s="47"/>
      <c r="N16" s="47"/>
      <c r="O16" s="47" t="s">
        <v>13</v>
      </c>
      <c r="P16" s="47"/>
      <c r="Q16" s="47" t="s">
        <v>14</v>
      </c>
      <c r="R16" s="47"/>
      <c r="S16" s="47"/>
      <c r="T16" s="47"/>
      <c r="U16" s="47"/>
      <c r="V16" s="46"/>
      <c r="W16" s="46"/>
    </row>
    <row r="17" spans="3:23" ht="139.19999999999999" x14ac:dyDescent="0.3">
      <c r="D17" s="1" t="s">
        <v>41</v>
      </c>
      <c r="F17" s="48"/>
      <c r="G17" s="46"/>
      <c r="H17" s="46"/>
      <c r="I17" s="46"/>
      <c r="J17" s="46"/>
      <c r="K17" s="46"/>
      <c r="L17" s="4" t="s">
        <v>15</v>
      </c>
      <c r="M17" s="4" t="s">
        <v>16</v>
      </c>
      <c r="N17" s="4" t="s">
        <v>17</v>
      </c>
      <c r="O17" s="4" t="s">
        <v>18</v>
      </c>
      <c r="P17" s="4" t="s">
        <v>19</v>
      </c>
      <c r="Q17" s="4" t="s">
        <v>20</v>
      </c>
      <c r="R17" s="4" t="s">
        <v>21</v>
      </c>
      <c r="S17" s="4" t="s">
        <v>22</v>
      </c>
      <c r="T17" s="4" t="s">
        <v>23</v>
      </c>
      <c r="U17" s="4" t="s">
        <v>24</v>
      </c>
      <c r="V17" s="46"/>
      <c r="W17" s="46"/>
    </row>
    <row r="18" spans="3:23" ht="15.6" x14ac:dyDescent="0.3">
      <c r="F18" s="3">
        <v>1</v>
      </c>
      <c r="G18" s="2">
        <v>2</v>
      </c>
      <c r="H18" s="2">
        <v>3</v>
      </c>
      <c r="I18" s="2">
        <v>4</v>
      </c>
      <c r="J18" s="2">
        <v>5</v>
      </c>
      <c r="K18" s="2">
        <v>6</v>
      </c>
      <c r="L18" s="3">
        <v>7</v>
      </c>
      <c r="M18" s="3">
        <v>8</v>
      </c>
      <c r="N18" s="3">
        <v>9</v>
      </c>
      <c r="O18" s="3">
        <v>10</v>
      </c>
      <c r="P18" s="3">
        <v>11</v>
      </c>
      <c r="Q18" s="3">
        <v>12</v>
      </c>
      <c r="R18" s="3">
        <v>13</v>
      </c>
      <c r="S18" s="3">
        <v>14</v>
      </c>
      <c r="T18" s="3">
        <v>15</v>
      </c>
      <c r="U18" s="3">
        <v>16</v>
      </c>
      <c r="V18" s="2">
        <v>17</v>
      </c>
      <c r="W18" s="2">
        <v>18</v>
      </c>
    </row>
    <row r="19" spans="3:23" ht="15.6" x14ac:dyDescent="0.3">
      <c r="C19" s="45">
        <f>I19</f>
        <v>-4500</v>
      </c>
      <c r="D19" s="38">
        <f>B2</f>
        <v>4500</v>
      </c>
      <c r="F19" s="6" t="s">
        <v>25</v>
      </c>
      <c r="G19" s="5">
        <f ca="1">B1</f>
        <v>45408</v>
      </c>
      <c r="H19" s="2" t="s">
        <v>25</v>
      </c>
      <c r="I19" s="11">
        <f>-B2</f>
        <v>-4500</v>
      </c>
      <c r="J19" s="12">
        <f>I19</f>
        <v>-4500</v>
      </c>
      <c r="K19" s="12" t="s">
        <v>25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2" t="s">
        <v>25</v>
      </c>
      <c r="W19" s="2" t="s">
        <v>25</v>
      </c>
    </row>
    <row r="20" spans="3:23" ht="15.6" x14ac:dyDescent="0.3">
      <c r="C20" s="45">
        <f>I20+U20</f>
        <v>538.32999999999993</v>
      </c>
      <c r="D20" s="38">
        <f>D19-J20</f>
        <v>4112.8500000000004</v>
      </c>
      <c r="F20" s="3">
        <v>1</v>
      </c>
      <c r="G20" s="5">
        <f t="shared" ref="G20:G31" ca="1" si="0">IF(F20&lt;=$B$8,$G$19+$B$7*F20-IF(F20=$B$8,0,1),"")</f>
        <v>45437</v>
      </c>
      <c r="H20" s="2">
        <f>IF(F20&lt;=$B$8,$B$7,"")</f>
        <v>30</v>
      </c>
      <c r="I20" s="13">
        <f>IF(F20&lt;=$B$8,IF(F20=$B$8,SUM($K$20:K20)-SUM($I$19:I19),$B$10),"")</f>
        <v>535.65</v>
      </c>
      <c r="J20" s="13">
        <f>IF(F20&lt;=$B$8,I20-K20,"")</f>
        <v>387.15</v>
      </c>
      <c r="K20" s="13">
        <f>IF(F20&lt;=$B$8,ROUND(D19*$B$6/100,2)*$B$7,"")</f>
        <v>148.5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6">
        <f>IF(ISERROR(ROUND(I20*Data!$E$2,2)),0,ROUND(I20*Data!$E$2,2))</f>
        <v>2.68</v>
      </c>
      <c r="V20" s="2" t="s">
        <v>25</v>
      </c>
      <c r="W20" s="2" t="s">
        <v>25</v>
      </c>
    </row>
    <row r="21" spans="3:23" ht="15.6" x14ac:dyDescent="0.3">
      <c r="C21" s="45">
        <f t="shared" ref="C21:C31" si="1">I21+U21</f>
        <v>538.32999999999993</v>
      </c>
      <c r="D21" s="38">
        <f t="shared" ref="D21:D31" si="2">D20-J21</f>
        <v>3712.8</v>
      </c>
      <c r="F21" s="3">
        <v>2</v>
      </c>
      <c r="G21" s="5">
        <f t="shared" ca="1" si="0"/>
        <v>45467</v>
      </c>
      <c r="H21" s="2">
        <f t="shared" ref="H21:H31" si="3">IF(F21&lt;=$B$8,$B$7,"")</f>
        <v>30</v>
      </c>
      <c r="I21" s="13">
        <f>IF(F21&lt;=$B$8,IF(F21=$B$8,SUM($K$20:K21)-SUM($I$19:I20),$B$10),"")</f>
        <v>535.65</v>
      </c>
      <c r="J21" s="13">
        <f t="shared" ref="J21:J31" si="4">IF(F21&lt;=$B$8,I21-K21,"")</f>
        <v>400.04999999999995</v>
      </c>
      <c r="K21" s="13">
        <f t="shared" ref="K21:K31" si="5">IF(F21&lt;=$B$8,ROUND(D20*$B$6/100,2)*$B$7,"")</f>
        <v>135.6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6">
        <f>IF(ISERROR(ROUND(I21*Data!$E$2,2)),0,ROUND(I21*Data!$E$2,2))</f>
        <v>2.68</v>
      </c>
      <c r="V21" s="2" t="s">
        <v>25</v>
      </c>
      <c r="W21" s="2" t="s">
        <v>25</v>
      </c>
    </row>
    <row r="22" spans="3:23" ht="15.6" x14ac:dyDescent="0.3">
      <c r="C22" s="45">
        <f t="shared" si="1"/>
        <v>538.32999999999993</v>
      </c>
      <c r="D22" s="38">
        <f t="shared" si="2"/>
        <v>3299.55</v>
      </c>
      <c r="F22" s="3">
        <v>3</v>
      </c>
      <c r="G22" s="5">
        <f t="shared" ca="1" si="0"/>
        <v>45497</v>
      </c>
      <c r="H22" s="2">
        <f t="shared" si="3"/>
        <v>30</v>
      </c>
      <c r="I22" s="13">
        <f>IF(F22&lt;=$B$8,IF(F22=$B$8,SUM($K$20:K22)-SUM($I$19:I21),$B$10),"")</f>
        <v>535.65</v>
      </c>
      <c r="J22" s="13">
        <f t="shared" si="4"/>
        <v>413.25</v>
      </c>
      <c r="K22" s="13">
        <f t="shared" si="5"/>
        <v>122.4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6">
        <f>IF(ISERROR(ROUND(I22*Data!$E$2,2)),0,ROUND(I22*Data!$E$2,2))</f>
        <v>2.68</v>
      </c>
      <c r="V22" s="2" t="s">
        <v>25</v>
      </c>
      <c r="W22" s="2" t="s">
        <v>25</v>
      </c>
    </row>
    <row r="23" spans="3:23" ht="15.6" x14ac:dyDescent="0.3">
      <c r="C23" s="45">
        <f t="shared" si="1"/>
        <v>538.32999999999993</v>
      </c>
      <c r="D23" s="38">
        <f t="shared" si="2"/>
        <v>2872.8</v>
      </c>
      <c r="F23" s="3">
        <v>4</v>
      </c>
      <c r="G23" s="5">
        <f t="shared" ca="1" si="0"/>
        <v>45527</v>
      </c>
      <c r="H23" s="2">
        <f t="shared" si="3"/>
        <v>30</v>
      </c>
      <c r="I23" s="13">
        <f>IF(F23&lt;=$B$8,IF(F23=$B$8,SUM($K$20:K23)-SUM($I$19:I22),$B$10),"")</f>
        <v>535.65</v>
      </c>
      <c r="J23" s="13">
        <f t="shared" si="4"/>
        <v>426.75</v>
      </c>
      <c r="K23" s="13">
        <f t="shared" si="5"/>
        <v>108.89999999999999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6">
        <f>IF(ISERROR(ROUND(I23*Data!$E$2,2)),0,ROUND(I23*Data!$E$2,2))</f>
        <v>2.68</v>
      </c>
      <c r="V23" s="2" t="s">
        <v>25</v>
      </c>
      <c r="W23" s="2" t="s">
        <v>25</v>
      </c>
    </row>
    <row r="24" spans="3:23" ht="15.6" x14ac:dyDescent="0.3">
      <c r="C24" s="45">
        <f t="shared" si="1"/>
        <v>538.32999999999993</v>
      </c>
      <c r="D24" s="38">
        <f t="shared" si="2"/>
        <v>2431.9500000000003</v>
      </c>
      <c r="F24" s="3">
        <v>5</v>
      </c>
      <c r="G24" s="5">
        <f t="shared" ca="1" si="0"/>
        <v>45557</v>
      </c>
      <c r="H24" s="2">
        <f t="shared" si="3"/>
        <v>30</v>
      </c>
      <c r="I24" s="13">
        <f>IF(F24&lt;=$B$8,IF(F24=$B$8,SUM($K$20:K24)-SUM($I$19:I23),$B$10),"")</f>
        <v>535.65</v>
      </c>
      <c r="J24" s="13">
        <f t="shared" si="4"/>
        <v>440.84999999999997</v>
      </c>
      <c r="K24" s="13">
        <f t="shared" si="5"/>
        <v>94.800000000000011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6">
        <f>IF(ISERROR(ROUND(I24*Data!$E$2,2)),0,ROUND(I24*Data!$E$2,2))</f>
        <v>2.68</v>
      </c>
      <c r="V24" s="2" t="s">
        <v>25</v>
      </c>
      <c r="W24" s="2" t="s">
        <v>25</v>
      </c>
    </row>
    <row r="25" spans="3:23" ht="15.6" x14ac:dyDescent="0.3">
      <c r="C25" s="45">
        <f t="shared" si="1"/>
        <v>538.32999999999993</v>
      </c>
      <c r="D25" s="38">
        <f t="shared" si="2"/>
        <v>1976.7000000000003</v>
      </c>
      <c r="F25" s="3">
        <v>6</v>
      </c>
      <c r="G25" s="5">
        <f t="shared" ca="1" si="0"/>
        <v>45587</v>
      </c>
      <c r="H25" s="2">
        <f t="shared" si="3"/>
        <v>30</v>
      </c>
      <c r="I25" s="13">
        <f>IF(F25&lt;=$B$8,IF(F25=$B$8,SUM($K$20:K25)-SUM($I$19:I24),$B$10),"")</f>
        <v>535.65</v>
      </c>
      <c r="J25" s="13">
        <f t="shared" si="4"/>
        <v>455.25</v>
      </c>
      <c r="K25" s="13">
        <f t="shared" si="5"/>
        <v>80.400000000000006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6">
        <f>IF(ISERROR(ROUND(I25*Data!$E$2,2)),0,ROUND(I25*Data!$E$2,2))</f>
        <v>2.68</v>
      </c>
      <c r="V25" s="2" t="s">
        <v>25</v>
      </c>
      <c r="W25" s="2" t="s">
        <v>25</v>
      </c>
    </row>
    <row r="26" spans="3:23" ht="15.6" x14ac:dyDescent="0.3">
      <c r="C26" s="45">
        <f t="shared" si="1"/>
        <v>538.32999999999993</v>
      </c>
      <c r="D26" s="38">
        <f t="shared" si="2"/>
        <v>1506.1500000000003</v>
      </c>
      <c r="F26" s="3">
        <v>7</v>
      </c>
      <c r="G26" s="5">
        <f t="shared" ca="1" si="0"/>
        <v>45617</v>
      </c>
      <c r="H26" s="2">
        <f t="shared" si="3"/>
        <v>30</v>
      </c>
      <c r="I26" s="13">
        <f>IF(F26&lt;=$B$8,IF(F26=$B$8,SUM($K$20:K26)-SUM($I$19:I25),$B$10),"")</f>
        <v>535.65</v>
      </c>
      <c r="J26" s="13">
        <f t="shared" si="4"/>
        <v>470.54999999999995</v>
      </c>
      <c r="K26" s="13">
        <f t="shared" si="5"/>
        <v>65.099999999999994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6">
        <f>IF(ISERROR(ROUND(I26*Data!$E$2,2)),0,ROUND(I26*Data!$E$2,2))</f>
        <v>2.68</v>
      </c>
      <c r="V26" s="2" t="s">
        <v>25</v>
      </c>
      <c r="W26" s="2" t="s">
        <v>25</v>
      </c>
    </row>
    <row r="27" spans="3:23" ht="15.6" x14ac:dyDescent="0.3">
      <c r="C27" s="45">
        <f t="shared" si="1"/>
        <v>538.32999999999993</v>
      </c>
      <c r="D27" s="38">
        <f t="shared" si="2"/>
        <v>1020.3000000000004</v>
      </c>
      <c r="F27" s="3">
        <v>8</v>
      </c>
      <c r="G27" s="5">
        <f t="shared" ca="1" si="0"/>
        <v>45647</v>
      </c>
      <c r="H27" s="2">
        <f t="shared" si="3"/>
        <v>30</v>
      </c>
      <c r="I27" s="13">
        <f>IF(F27&lt;=$B$8,IF(F27=$B$8,SUM($K$20:K27)-SUM($I$19:I26),$B$10),"")</f>
        <v>535.65</v>
      </c>
      <c r="J27" s="13">
        <f t="shared" si="4"/>
        <v>485.84999999999997</v>
      </c>
      <c r="K27" s="13">
        <f t="shared" si="5"/>
        <v>49.8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6">
        <f>IF(ISERROR(ROUND(I27*Data!$E$2,2)),0,ROUND(I27*Data!$E$2,2))</f>
        <v>2.68</v>
      </c>
      <c r="V27" s="2" t="s">
        <v>25</v>
      </c>
      <c r="W27" s="2" t="s">
        <v>25</v>
      </c>
    </row>
    <row r="28" spans="3:23" ht="15.6" x14ac:dyDescent="0.3">
      <c r="C28" s="45">
        <f t="shared" si="1"/>
        <v>538.32999999999993</v>
      </c>
      <c r="D28" s="38">
        <f t="shared" si="2"/>
        <v>518.25000000000045</v>
      </c>
      <c r="F28" s="3">
        <v>9</v>
      </c>
      <c r="G28" s="5">
        <f t="shared" ca="1" si="0"/>
        <v>45677</v>
      </c>
      <c r="H28" s="2">
        <f t="shared" si="3"/>
        <v>30</v>
      </c>
      <c r="I28" s="13">
        <f>IF(F28&lt;=$B$8,IF(F28=$B$8,SUM($K$20:K28)-SUM($I$19:I27),$B$10),"")</f>
        <v>535.65</v>
      </c>
      <c r="J28" s="13">
        <f t="shared" si="4"/>
        <v>502.04999999999995</v>
      </c>
      <c r="K28" s="13">
        <f t="shared" si="5"/>
        <v>33.6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6">
        <f>IF(ISERROR(ROUND(I28*Data!$E$2,2)),0,ROUND(I28*Data!$E$2,2))</f>
        <v>2.68</v>
      </c>
      <c r="V28" s="2" t="s">
        <v>25</v>
      </c>
      <c r="W28" s="2" t="s">
        <v>25</v>
      </c>
    </row>
    <row r="29" spans="3:23" ht="15.6" x14ac:dyDescent="0.3">
      <c r="C29" s="45">
        <f t="shared" si="1"/>
        <v>538.02999999999952</v>
      </c>
      <c r="D29" s="38">
        <f t="shared" si="2"/>
        <v>9.0949470177292824E-13</v>
      </c>
      <c r="F29" s="3">
        <v>10</v>
      </c>
      <c r="G29" s="5">
        <f t="shared" ca="1" si="0"/>
        <v>45708</v>
      </c>
      <c r="H29" s="2">
        <f t="shared" si="3"/>
        <v>30</v>
      </c>
      <c r="I29" s="13">
        <f>IF(F29&lt;=$B$8,IF(F29=$B$8,SUM($K$20:K29)-SUM($I$19:I28),$B$10),"")</f>
        <v>535.34999999999957</v>
      </c>
      <c r="J29" s="13">
        <f t="shared" si="4"/>
        <v>518.24999999999955</v>
      </c>
      <c r="K29" s="13">
        <f t="shared" si="5"/>
        <v>17.099999999999998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6">
        <f>IF(ISERROR(ROUND(I29*Data!$E$2,2)),0,ROUND(I29*Data!$E$2,2))</f>
        <v>2.68</v>
      </c>
      <c r="V29" s="2" t="s">
        <v>25</v>
      </c>
      <c r="W29" s="2" t="s">
        <v>25</v>
      </c>
    </row>
    <row r="30" spans="3:23" ht="15.6" x14ac:dyDescent="0.3">
      <c r="C30" s="45" t="e">
        <f t="shared" si="1"/>
        <v>#VALUE!</v>
      </c>
      <c r="D30" s="38" t="e">
        <f t="shared" si="2"/>
        <v>#VALUE!</v>
      </c>
      <c r="F30" s="3">
        <v>11</v>
      </c>
      <c r="G30" s="5" t="str">
        <f t="shared" si="0"/>
        <v/>
      </c>
      <c r="H30" s="2" t="str">
        <f t="shared" si="3"/>
        <v/>
      </c>
      <c r="I30" s="13" t="str">
        <f>IF(F30&lt;=$B$8,IF(F30=$B$8,SUM($K$20:K30)-SUM($I$19:I29),$B$10),"")</f>
        <v/>
      </c>
      <c r="J30" s="13" t="str">
        <f t="shared" si="4"/>
        <v/>
      </c>
      <c r="K30" s="13" t="str">
        <f t="shared" si="5"/>
        <v/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6">
        <f>IF(ISERROR(ROUND(I30*Data!$E$2,2)),0,ROUND(I30*Data!$E$2,2))</f>
        <v>0</v>
      </c>
      <c r="V30" s="2" t="s">
        <v>25</v>
      </c>
      <c r="W30" s="2" t="s">
        <v>25</v>
      </c>
    </row>
    <row r="31" spans="3:23" ht="15.6" x14ac:dyDescent="0.3">
      <c r="C31" s="45" t="e">
        <f t="shared" si="1"/>
        <v>#VALUE!</v>
      </c>
      <c r="D31" s="38" t="e">
        <f t="shared" si="2"/>
        <v>#VALUE!</v>
      </c>
      <c r="F31" s="3">
        <v>12</v>
      </c>
      <c r="G31" s="5" t="str">
        <f t="shared" si="0"/>
        <v/>
      </c>
      <c r="H31" s="2" t="str">
        <f t="shared" si="3"/>
        <v/>
      </c>
      <c r="I31" s="13" t="str">
        <f>IF(F31&lt;=$B$8,IF(F31=$B$8,SUM($K$20:K31)-SUM($I$19:I30),$B$10),"")</f>
        <v/>
      </c>
      <c r="J31" s="13" t="str">
        <f t="shared" si="4"/>
        <v/>
      </c>
      <c r="K31" s="13" t="str">
        <f t="shared" si="5"/>
        <v/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6">
        <f>IF(ISERROR(ROUND(I31*Data!$E$2,2)),0,ROUND(I31*Data!$E$2,2))</f>
        <v>0</v>
      </c>
      <c r="V31" s="2" t="s">
        <v>25</v>
      </c>
      <c r="W31" s="2" t="s">
        <v>25</v>
      </c>
    </row>
    <row r="32" spans="3:23" s="22" customFormat="1" ht="31.2" x14ac:dyDescent="0.3">
      <c r="F32" s="7" t="s">
        <v>26</v>
      </c>
      <c r="G32" s="8" t="s">
        <v>25</v>
      </c>
      <c r="H32" s="9">
        <f>SUM(H20:H31)</f>
        <v>300</v>
      </c>
      <c r="I32" s="14">
        <f t="shared" ref="I32:K32" si="6">SUM(I20:I31)</f>
        <v>5356.1999999999989</v>
      </c>
      <c r="J32" s="14">
        <f t="shared" si="6"/>
        <v>4499.9999999999982</v>
      </c>
      <c r="K32" s="14">
        <f t="shared" si="6"/>
        <v>856.2</v>
      </c>
      <c r="L32" s="9">
        <f>SUM(L20:L31)</f>
        <v>0</v>
      </c>
      <c r="M32" s="9">
        <f t="shared" ref="M32:U32" si="7">SUM(M20:M31)</f>
        <v>0</v>
      </c>
      <c r="N32" s="9">
        <f t="shared" si="7"/>
        <v>0</v>
      </c>
      <c r="O32" s="9">
        <f t="shared" si="7"/>
        <v>0</v>
      </c>
      <c r="P32" s="9">
        <f t="shared" si="7"/>
        <v>0</v>
      </c>
      <c r="Q32" s="9">
        <f t="shared" si="7"/>
        <v>0</v>
      </c>
      <c r="R32" s="9">
        <f t="shared" si="7"/>
        <v>0</v>
      </c>
      <c r="S32" s="9">
        <f t="shared" si="7"/>
        <v>0</v>
      </c>
      <c r="T32" s="9">
        <f t="shared" si="7"/>
        <v>0</v>
      </c>
      <c r="U32" s="9">
        <f t="shared" si="7"/>
        <v>26.8</v>
      </c>
      <c r="V32" s="15">
        <f ca="1">XIRR(C19:INDIRECT(ADDRESS(31-(12-B8),3)),G19:INDIRECT(ADDRESS(31-(12-B8),7)))</f>
        <v>0.50519863963127132</v>
      </c>
      <c r="W32" s="14">
        <f>SUM(J32:U32)</f>
        <v>5382.9999999999982</v>
      </c>
    </row>
    <row r="34" spans="22:22" x14ac:dyDescent="0.3">
      <c r="V34" s="40"/>
    </row>
  </sheetData>
  <sheetProtection algorithmName="SHA-512" hashValue="MFdGIJxJj75pG86jfHmHjtAKczPhO7Sm7qhI8LjQeFf2vG0R6e+sInlzDGhw+3YFM8Ya8HInJ7cDbjPYhXUjKw==" saltValue="HGai3Ya66czESbinzt04Hw==" spinCount="100000" sheet="1" formatCells="0" formatColumns="0" formatRows="0" insertColumns="0" insertRows="0" insertHyperlinks="0" deleteColumns="0" deleteRows="0" sort="0" autoFilter="0" pivotTables="0"/>
  <mergeCells count="13">
    <mergeCell ref="F14:F17"/>
    <mergeCell ref="G14:G17"/>
    <mergeCell ref="H14:H17"/>
    <mergeCell ref="I14:I17"/>
    <mergeCell ref="J14:U14"/>
    <mergeCell ref="W14:W17"/>
    <mergeCell ref="J15:J17"/>
    <mergeCell ref="K15:K17"/>
    <mergeCell ref="L15:U15"/>
    <mergeCell ref="L16:N16"/>
    <mergeCell ref="O16:P16"/>
    <mergeCell ref="Q16:U16"/>
    <mergeCell ref="V14:V17"/>
  </mergeCells>
  <dataValidations count="4">
    <dataValidation type="list" operator="equal" allowBlank="1" showInputMessage="1" showErrorMessage="1" sqref="B3:D3" xr:uid="{CF662951-8C6D-487A-B5D6-318906C73670}">
      <formula1>annuity_rates</formula1>
    </dataValidation>
    <dataValidation type="list" allowBlank="1" showInputMessage="1" showErrorMessage="1" sqref="B2:D3" xr:uid="{9BB9DC57-2097-4AA9-91B6-89C5D1F1102A}">
      <formula1>credit_amount</formula1>
    </dataValidation>
    <dataValidation type="list" operator="equal" allowBlank="1" showInputMessage="1" showErrorMessage="1" sqref="B4:D4" xr:uid="{B1DC2623-7EA1-4D86-97FB-4B676B164F8A}">
      <formula1>term</formula1>
    </dataValidation>
    <dataValidation type="list" allowBlank="1" showInputMessage="1" showErrorMessage="1" sqref="B4:D4" xr:uid="{7144D757-C2C4-4F25-A3C8-B386BF87F5F1}">
      <formula1>term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D238-5F52-45CF-A561-98BDACF42332}">
  <dimension ref="A1:H61"/>
  <sheetViews>
    <sheetView topLeftCell="A37" workbookViewId="0">
      <selection activeCell="B65" sqref="B65"/>
    </sheetView>
  </sheetViews>
  <sheetFormatPr defaultRowHeight="14.4" x14ac:dyDescent="0.3"/>
  <cols>
    <col min="1" max="1" width="13.109375" bestFit="1" customWidth="1"/>
    <col min="2" max="2" width="10.44140625" bestFit="1" customWidth="1"/>
    <col min="3" max="3" width="12.21875" bestFit="1" customWidth="1"/>
    <col min="8" max="8" width="12.5546875" bestFit="1" customWidth="1"/>
  </cols>
  <sheetData>
    <row r="1" spans="1:8" x14ac:dyDescent="0.3">
      <c r="A1" s="19" t="s">
        <v>29</v>
      </c>
      <c r="B1" s="19" t="s">
        <v>30</v>
      </c>
      <c r="C1" s="19" t="s">
        <v>33</v>
      </c>
      <c r="D1" s="19" t="s">
        <v>32</v>
      </c>
      <c r="E1" s="19" t="s">
        <v>43</v>
      </c>
      <c r="F1" s="19" t="s">
        <v>36</v>
      </c>
      <c r="H1" s="19" t="s">
        <v>39</v>
      </c>
    </row>
    <row r="2" spans="1:8" x14ac:dyDescent="0.3">
      <c r="A2">
        <v>2000</v>
      </c>
      <c r="B2">
        <v>0</v>
      </c>
      <c r="C2">
        <v>10</v>
      </c>
      <c r="D2" s="24">
        <f>ROUND(START!$B$3*(100-Data!C2)/100,3)</f>
        <v>9.9000000000000005E-2</v>
      </c>
      <c r="E2" s="41">
        <v>5.0000000000000001E-3</v>
      </c>
      <c r="F2">
        <v>90</v>
      </c>
      <c r="H2" s="24">
        <v>9.6000000000000002E-2</v>
      </c>
    </row>
    <row r="3" spans="1:8" x14ac:dyDescent="0.3">
      <c r="A3">
        <f>A2+100</f>
        <v>2100</v>
      </c>
      <c r="B3">
        <v>10</v>
      </c>
      <c r="C3">
        <v>15</v>
      </c>
      <c r="D3" s="24">
        <f>ROUND(START!$B$3*(100-Data!C3)/100,3)</f>
        <v>9.4E-2</v>
      </c>
      <c r="F3">
        <f>F2+30</f>
        <v>120</v>
      </c>
      <c r="H3" s="24">
        <v>0.11</v>
      </c>
    </row>
    <row r="4" spans="1:8" x14ac:dyDescent="0.3">
      <c r="A4">
        <f t="shared" ref="A4:A61" si="0">A3+100</f>
        <v>2200</v>
      </c>
      <c r="B4">
        <v>15</v>
      </c>
      <c r="C4">
        <v>20</v>
      </c>
      <c r="D4" s="24">
        <f>ROUND(START!$B$3*(100-Data!C4)/100,3)</f>
        <v>8.7999999999999995E-2</v>
      </c>
      <c r="F4">
        <f t="shared" ref="F4:F11" si="1">F3+30</f>
        <v>150</v>
      </c>
      <c r="H4" s="24">
        <v>0.13700000000000001</v>
      </c>
    </row>
    <row r="5" spans="1:8" x14ac:dyDescent="0.3">
      <c r="A5">
        <f t="shared" si="0"/>
        <v>2300</v>
      </c>
      <c r="B5">
        <v>20</v>
      </c>
      <c r="C5">
        <v>25</v>
      </c>
      <c r="D5" s="24">
        <f>ROUND(START!$B$3*(100-Data!C5)/100,3)</f>
        <v>8.3000000000000004E-2</v>
      </c>
      <c r="F5">
        <f t="shared" si="1"/>
        <v>180</v>
      </c>
    </row>
    <row r="6" spans="1:8" x14ac:dyDescent="0.3">
      <c r="A6">
        <f t="shared" si="0"/>
        <v>2400</v>
      </c>
      <c r="B6">
        <v>30</v>
      </c>
      <c r="C6">
        <v>30</v>
      </c>
      <c r="D6" s="24">
        <f>ROUND(START!$B$3*(100-Data!C6)/100,3)</f>
        <v>7.6999999999999999E-2</v>
      </c>
      <c r="F6">
        <f t="shared" si="1"/>
        <v>210</v>
      </c>
    </row>
    <row r="7" spans="1:8" x14ac:dyDescent="0.3">
      <c r="A7">
        <f t="shared" si="0"/>
        <v>2500</v>
      </c>
      <c r="B7">
        <v>40</v>
      </c>
      <c r="C7">
        <v>35</v>
      </c>
      <c r="D7" s="24">
        <f>ROUND(START!$B$3*(100-Data!C7)/100,3)</f>
        <v>7.1999999999999995E-2</v>
      </c>
      <c r="F7">
        <f t="shared" si="1"/>
        <v>240</v>
      </c>
    </row>
    <row r="8" spans="1:8" x14ac:dyDescent="0.3">
      <c r="A8">
        <f t="shared" si="0"/>
        <v>2600</v>
      </c>
      <c r="B8">
        <v>50</v>
      </c>
      <c r="C8">
        <v>40</v>
      </c>
      <c r="D8" s="24">
        <f>ROUND(START!$B$3*(100-Data!C8)/100,3)</f>
        <v>6.6000000000000003E-2</v>
      </c>
      <c r="F8">
        <f t="shared" si="1"/>
        <v>270</v>
      </c>
    </row>
    <row r="9" spans="1:8" x14ac:dyDescent="0.3">
      <c r="A9">
        <f t="shared" si="0"/>
        <v>2700</v>
      </c>
      <c r="B9">
        <v>60</v>
      </c>
      <c r="C9">
        <v>50</v>
      </c>
      <c r="D9" s="24">
        <f>ROUND(START!$B$3*(100-Data!C9)/100,3)</f>
        <v>5.5E-2</v>
      </c>
      <c r="F9">
        <f t="shared" si="1"/>
        <v>300</v>
      </c>
    </row>
    <row r="10" spans="1:8" x14ac:dyDescent="0.3">
      <c r="A10">
        <f t="shared" si="0"/>
        <v>2800</v>
      </c>
      <c r="B10">
        <v>70</v>
      </c>
      <c r="C10">
        <v>60</v>
      </c>
      <c r="D10" s="24">
        <f>ROUND(START!$B$3*(100-Data!C10)/100,3)</f>
        <v>4.3999999999999997E-2</v>
      </c>
      <c r="F10">
        <f t="shared" si="1"/>
        <v>330</v>
      </c>
    </row>
    <row r="11" spans="1:8" x14ac:dyDescent="0.3">
      <c r="A11">
        <f t="shared" si="0"/>
        <v>2900</v>
      </c>
      <c r="B11">
        <v>80</v>
      </c>
      <c r="C11">
        <v>70</v>
      </c>
      <c r="D11" s="24">
        <f>ROUND(START!$B$3*(100-Data!C11)/100,3)</f>
        <v>3.3000000000000002E-2</v>
      </c>
      <c r="F11">
        <f t="shared" si="1"/>
        <v>360</v>
      </c>
    </row>
    <row r="12" spans="1:8" x14ac:dyDescent="0.3">
      <c r="A12">
        <f>A11+100</f>
        <v>3000</v>
      </c>
      <c r="B12">
        <v>90</v>
      </c>
      <c r="C12">
        <v>80</v>
      </c>
      <c r="D12" s="24">
        <f>ROUND(START!$B$3*(100-Data!C12)/100,3)</f>
        <v>2.1999999999999999E-2</v>
      </c>
    </row>
    <row r="13" spans="1:8" x14ac:dyDescent="0.3">
      <c r="A13">
        <f t="shared" si="0"/>
        <v>3100</v>
      </c>
      <c r="C13">
        <v>90</v>
      </c>
      <c r="D13" s="24">
        <f>ROUND(START!$B$3*(100-Data!C13)/100,3)</f>
        <v>1.0999999999999999E-2</v>
      </c>
    </row>
    <row r="14" spans="1:8" x14ac:dyDescent="0.3">
      <c r="A14">
        <f t="shared" si="0"/>
        <v>3200</v>
      </c>
      <c r="C14">
        <v>99.95</v>
      </c>
      <c r="D14" s="24">
        <f>ROUND(START!$B$3*(100-Data!C14)/100,3)</f>
        <v>0</v>
      </c>
    </row>
    <row r="15" spans="1:8" x14ac:dyDescent="0.3">
      <c r="A15">
        <f t="shared" si="0"/>
        <v>3300</v>
      </c>
    </row>
    <row r="16" spans="1:8" x14ac:dyDescent="0.3">
      <c r="A16">
        <f t="shared" si="0"/>
        <v>3400</v>
      </c>
    </row>
    <row r="17" spans="1:1" x14ac:dyDescent="0.3">
      <c r="A17">
        <f t="shared" si="0"/>
        <v>3500</v>
      </c>
    </row>
    <row r="18" spans="1:1" x14ac:dyDescent="0.3">
      <c r="A18">
        <f t="shared" si="0"/>
        <v>3600</v>
      </c>
    </row>
    <row r="19" spans="1:1" x14ac:dyDescent="0.3">
      <c r="A19">
        <f t="shared" si="0"/>
        <v>3700</v>
      </c>
    </row>
    <row r="20" spans="1:1" x14ac:dyDescent="0.3">
      <c r="A20">
        <f t="shared" si="0"/>
        <v>3800</v>
      </c>
    </row>
    <row r="21" spans="1:1" x14ac:dyDescent="0.3">
      <c r="A21">
        <f t="shared" si="0"/>
        <v>3900</v>
      </c>
    </row>
    <row r="22" spans="1:1" x14ac:dyDescent="0.3">
      <c r="A22">
        <f t="shared" si="0"/>
        <v>4000</v>
      </c>
    </row>
    <row r="23" spans="1:1" x14ac:dyDescent="0.3">
      <c r="A23">
        <f>A22+100</f>
        <v>4100</v>
      </c>
    </row>
    <row r="24" spans="1:1" x14ac:dyDescent="0.3">
      <c r="A24">
        <f t="shared" si="0"/>
        <v>4200</v>
      </c>
    </row>
    <row r="25" spans="1:1" x14ac:dyDescent="0.3">
      <c r="A25">
        <f t="shared" si="0"/>
        <v>4300</v>
      </c>
    </row>
    <row r="26" spans="1:1" x14ac:dyDescent="0.3">
      <c r="A26">
        <f t="shared" si="0"/>
        <v>4400</v>
      </c>
    </row>
    <row r="27" spans="1:1" x14ac:dyDescent="0.3">
      <c r="A27">
        <f t="shared" si="0"/>
        <v>4500</v>
      </c>
    </row>
    <row r="28" spans="1:1" x14ac:dyDescent="0.3">
      <c r="A28">
        <f t="shared" si="0"/>
        <v>4600</v>
      </c>
    </row>
    <row r="29" spans="1:1" x14ac:dyDescent="0.3">
      <c r="A29">
        <f t="shared" si="0"/>
        <v>4700</v>
      </c>
    </row>
    <row r="30" spans="1:1" x14ac:dyDescent="0.3">
      <c r="A30">
        <f t="shared" si="0"/>
        <v>4800</v>
      </c>
    </row>
    <row r="31" spans="1:1" x14ac:dyDescent="0.3">
      <c r="A31">
        <f t="shared" si="0"/>
        <v>4900</v>
      </c>
    </row>
    <row r="32" spans="1:1" x14ac:dyDescent="0.3">
      <c r="A32">
        <f>A31+100</f>
        <v>5000</v>
      </c>
    </row>
    <row r="33" spans="1:1" x14ac:dyDescent="0.3">
      <c r="A33">
        <f t="shared" si="0"/>
        <v>5100</v>
      </c>
    </row>
    <row r="34" spans="1:1" x14ac:dyDescent="0.3">
      <c r="A34">
        <f t="shared" si="0"/>
        <v>5200</v>
      </c>
    </row>
    <row r="35" spans="1:1" x14ac:dyDescent="0.3">
      <c r="A35">
        <f t="shared" si="0"/>
        <v>5300</v>
      </c>
    </row>
    <row r="36" spans="1:1" x14ac:dyDescent="0.3">
      <c r="A36">
        <f t="shared" si="0"/>
        <v>5400</v>
      </c>
    </row>
    <row r="37" spans="1:1" x14ac:dyDescent="0.3">
      <c r="A37">
        <f t="shared" si="0"/>
        <v>5500</v>
      </c>
    </row>
    <row r="38" spans="1:1" x14ac:dyDescent="0.3">
      <c r="A38">
        <f t="shared" si="0"/>
        <v>5600</v>
      </c>
    </row>
    <row r="39" spans="1:1" x14ac:dyDescent="0.3">
      <c r="A39">
        <f t="shared" si="0"/>
        <v>5700</v>
      </c>
    </row>
    <row r="40" spans="1:1" x14ac:dyDescent="0.3">
      <c r="A40">
        <f t="shared" si="0"/>
        <v>5800</v>
      </c>
    </row>
    <row r="41" spans="1:1" x14ac:dyDescent="0.3">
      <c r="A41">
        <f t="shared" si="0"/>
        <v>5900</v>
      </c>
    </row>
    <row r="42" spans="1:1" x14ac:dyDescent="0.3">
      <c r="A42">
        <f t="shared" si="0"/>
        <v>6000</v>
      </c>
    </row>
    <row r="43" spans="1:1" x14ac:dyDescent="0.3">
      <c r="A43">
        <f t="shared" si="0"/>
        <v>6100</v>
      </c>
    </row>
    <row r="44" spans="1:1" x14ac:dyDescent="0.3">
      <c r="A44">
        <f t="shared" si="0"/>
        <v>6200</v>
      </c>
    </row>
    <row r="45" spans="1:1" x14ac:dyDescent="0.3">
      <c r="A45">
        <f t="shared" si="0"/>
        <v>6300</v>
      </c>
    </row>
    <row r="46" spans="1:1" x14ac:dyDescent="0.3">
      <c r="A46">
        <f t="shared" si="0"/>
        <v>6400</v>
      </c>
    </row>
    <row r="47" spans="1:1" x14ac:dyDescent="0.3">
      <c r="A47">
        <f t="shared" si="0"/>
        <v>6500</v>
      </c>
    </row>
    <row r="48" spans="1:1" x14ac:dyDescent="0.3">
      <c r="A48">
        <f t="shared" si="0"/>
        <v>6600</v>
      </c>
    </row>
    <row r="49" spans="1:1" x14ac:dyDescent="0.3">
      <c r="A49">
        <f t="shared" si="0"/>
        <v>6700</v>
      </c>
    </row>
    <row r="50" spans="1:1" x14ac:dyDescent="0.3">
      <c r="A50">
        <f t="shared" si="0"/>
        <v>6800</v>
      </c>
    </row>
    <row r="51" spans="1:1" x14ac:dyDescent="0.3">
      <c r="A51">
        <f t="shared" si="0"/>
        <v>6900</v>
      </c>
    </row>
    <row r="52" spans="1:1" x14ac:dyDescent="0.3">
      <c r="A52">
        <f t="shared" si="0"/>
        <v>7000</v>
      </c>
    </row>
    <row r="53" spans="1:1" x14ac:dyDescent="0.3">
      <c r="A53">
        <f t="shared" si="0"/>
        <v>7100</v>
      </c>
    </row>
    <row r="54" spans="1:1" x14ac:dyDescent="0.3">
      <c r="A54">
        <f t="shared" si="0"/>
        <v>7200</v>
      </c>
    </row>
    <row r="55" spans="1:1" x14ac:dyDescent="0.3">
      <c r="A55">
        <f t="shared" si="0"/>
        <v>7300</v>
      </c>
    </row>
    <row r="56" spans="1:1" x14ac:dyDescent="0.3">
      <c r="A56">
        <f t="shared" si="0"/>
        <v>7400</v>
      </c>
    </row>
    <row r="57" spans="1:1" x14ac:dyDescent="0.3">
      <c r="A57">
        <f t="shared" si="0"/>
        <v>7500</v>
      </c>
    </row>
    <row r="58" spans="1:1" x14ac:dyDescent="0.3">
      <c r="A58">
        <f t="shared" si="0"/>
        <v>7600</v>
      </c>
    </row>
    <row r="59" spans="1:1" x14ac:dyDescent="0.3">
      <c r="A59">
        <f t="shared" si="0"/>
        <v>7700</v>
      </c>
    </row>
    <row r="60" spans="1:1" x14ac:dyDescent="0.3">
      <c r="A60">
        <f t="shared" si="0"/>
        <v>7800</v>
      </c>
    </row>
    <row r="61" spans="1:1" x14ac:dyDescent="0.3">
      <c r="A61">
        <f t="shared" si="0"/>
        <v>7900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START</vt:lpstr>
      <vt:lpstr>Data</vt:lpstr>
      <vt:lpstr>annuity_rates</vt:lpstr>
      <vt:lpstr>credit_amount</vt:lpstr>
      <vt:lpstr>discount_rate</vt:lpstr>
      <vt:lpstr>promocode</vt:lpstr>
      <vt:lpstr>term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Vadym Linevych</dc:creator>
  <cp:lastModifiedBy>Vadym Linevych</cp:lastModifiedBy>
  <dcterms:created xsi:type="dcterms:W3CDTF">2015-06-05T18:17:20Z</dcterms:created>
  <dcterms:modified xsi:type="dcterms:W3CDTF">2024-04-26T09:51:54Z</dcterms:modified>
</cp:coreProperties>
</file>